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ocuments\Keelis Documents\MWRA\MWRA Technical Standards Committee\IPP Local Limits\"/>
    </mc:Choice>
  </mc:AlternateContent>
  <xr:revisionPtr revIDLastSave="0" documentId="8_{ED650DE2-7AAA-459B-AB0B-C2BE4F7A0B52}" xr6:coauthVersionLast="47" xr6:coauthVersionMax="47" xr10:uidLastSave="{00000000-0000-0000-0000-000000000000}"/>
  <bookViews>
    <workbookView xWindow="-25320" yWindow="300" windowWidth="25440" windowHeight="15390" xr2:uid="{97AB753A-D6F1-4AA4-B821-BE8E0F863430}"/>
  </bookViews>
  <sheets>
    <sheet name="example calculation" sheetId="6" r:id="rId1"/>
  </sheets>
  <definedNames>
    <definedName name="_xlnm.Print_Area" localSheetId="0">'example calculation'!$A$1:$Y$38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6" l="1"/>
  <c r="B5" i="6" s="1"/>
  <c r="B31" i="6"/>
  <c r="B18" i="6" s="1"/>
  <c r="D18" i="6" s="1"/>
  <c r="B20" i="6"/>
  <c r="D20" i="6" s="1"/>
  <c r="B21" i="6"/>
  <c r="Y21" i="6" s="1"/>
  <c r="B22" i="6"/>
  <c r="D22" i="6" s="1"/>
  <c r="B23" i="6"/>
  <c r="X23" i="6" s="1"/>
  <c r="B24" i="6"/>
  <c r="D24" i="6" s="1"/>
  <c r="B25" i="6"/>
  <c r="D25" i="6" s="1"/>
  <c r="X21" i="6" l="1"/>
  <c r="Y20" i="6"/>
  <c r="Y23" i="6"/>
  <c r="W20" i="6"/>
  <c r="V23" i="6"/>
  <c r="W23" i="6"/>
  <c r="D21" i="6"/>
  <c r="D23" i="6"/>
  <c r="B30" i="6"/>
  <c r="B6" i="6"/>
  <c r="B7" i="6" s="1"/>
  <c r="B27" i="6"/>
  <c r="N21" i="6" l="1"/>
  <c r="W21" i="6" s="1"/>
  <c r="R22" i="6"/>
  <c r="Y22" i="6" s="1"/>
  <c r="N24" i="6"/>
  <c r="W24" i="6" s="1"/>
  <c r="R24" i="6"/>
  <c r="Y24" i="6" s="1"/>
  <c r="N22" i="6"/>
  <c r="W22" i="6" s="1"/>
  <c r="P24" i="6"/>
  <c r="X24" i="6" s="1"/>
  <c r="L21" i="6"/>
  <c r="V21" i="6" s="1"/>
  <c r="P22" i="6"/>
  <c r="X22" i="6" s="1"/>
  <c r="L20" i="6"/>
  <c r="V20" i="6" s="1"/>
  <c r="L22" i="6"/>
  <c r="V22" i="6" s="1"/>
  <c r="P20" i="6"/>
  <c r="X20" i="6" s="1"/>
  <c r="L24" i="6"/>
  <c r="V24" i="6" s="1"/>
  <c r="J23" i="6"/>
  <c r="U23" i="6" s="1"/>
  <c r="J22" i="6"/>
  <c r="U22" i="6" s="1"/>
  <c r="J21" i="6"/>
  <c r="U21" i="6" s="1"/>
  <c r="J20" i="6"/>
  <c r="U20" i="6" s="1"/>
  <c r="J24" i="6"/>
  <c r="U24" i="6" s="1"/>
  <c r="H20" i="6"/>
  <c r="T20" i="6" s="1"/>
  <c r="D27" i="6"/>
  <c r="E22" i="6" s="1"/>
  <c r="D28" i="6"/>
  <c r="H21" i="6" l="1"/>
  <c r="T21" i="6" s="1"/>
  <c r="E23" i="6"/>
  <c r="E25" i="6"/>
  <c r="E20" i="6"/>
  <c r="E18" i="6"/>
  <c r="E24" i="6"/>
  <c r="E21" i="6"/>
  <c r="H22" i="6" l="1"/>
  <c r="T22" i="6" s="1"/>
  <c r="H23" i="6" l="1"/>
  <c r="T23" i="6" s="1"/>
  <c r="H24" i="6" l="1"/>
  <c r="T24" i="6" s="1"/>
  <c r="H25" i="6" l="1"/>
  <c r="T25" i="6" s="1"/>
</calcChain>
</file>

<file path=xl/sharedStrings.xml><?xml version="1.0" encoding="utf-8"?>
<sst xmlns="http://schemas.openxmlformats.org/spreadsheetml/2006/main" count="81" uniqueCount="50">
  <si>
    <t>WWTP flow</t>
  </si>
  <si>
    <t>PFOS MAHL</t>
  </si>
  <si>
    <t>Background</t>
  </si>
  <si>
    <t>MAIL</t>
  </si>
  <si>
    <t>Source</t>
  </si>
  <si>
    <t>Flow</t>
  </si>
  <si>
    <t>PFOS</t>
  </si>
  <si>
    <t>Load</t>
  </si>
  <si>
    <t>Percentage</t>
  </si>
  <si>
    <t>of load</t>
  </si>
  <si>
    <t>Scale (1-10)</t>
  </si>
  <si>
    <t>Industry 1</t>
  </si>
  <si>
    <t>Industry 2</t>
  </si>
  <si>
    <t>Industry 3</t>
  </si>
  <si>
    <t>ng/l</t>
  </si>
  <si>
    <t>Industrial Loading</t>
  </si>
  <si>
    <t>Local Limit Calculations</t>
  </si>
  <si>
    <t xml:space="preserve">Basis of IU Needs </t>
  </si>
  <si>
    <t>IU 2</t>
  </si>
  <si>
    <t>Step 1: Develop Uniform Concentration Limits</t>
  </si>
  <si>
    <t>IU Treatability</t>
  </si>
  <si>
    <t>Industrial flow with PFOS</t>
  </si>
  <si>
    <t>IU  Contribution</t>
  </si>
  <si>
    <r>
      <t>lbs/d 10</t>
    </r>
    <r>
      <rPr>
        <vertAlign val="superscript"/>
        <sz val="11"/>
        <color theme="1"/>
        <rFont val="Calibri"/>
        <family val="2"/>
        <scheme val="minor"/>
      </rPr>
      <t>-6</t>
    </r>
  </si>
  <si>
    <t>Step 2: Develop IU Contribution Limits</t>
  </si>
  <si>
    <t xml:space="preserve">Leachate A </t>
  </si>
  <si>
    <t>Leachate B</t>
  </si>
  <si>
    <t>Totals for WWTP</t>
  </si>
  <si>
    <t>Leachate A &amp; IU 2</t>
  </si>
  <si>
    <t>Leachate B &amp; IU 2</t>
  </si>
  <si>
    <t>Leachate A &amp; B &amp; IU 2</t>
  </si>
  <si>
    <t>Special Allocation for:</t>
  </si>
  <si>
    <t>Industry 4</t>
  </si>
  <si>
    <t>Total Industrial flow to WWTP</t>
  </si>
  <si>
    <t>PFOS WQBEL</t>
  </si>
  <si>
    <t>MGD</t>
  </si>
  <si>
    <t>PFOS MAHL w SF</t>
  </si>
  <si>
    <t>Uniform Concentration</t>
  </si>
  <si>
    <t>NA</t>
  </si>
  <si>
    <t>IU Contribution</t>
  </si>
  <si>
    <t xml:space="preserve">C  O  N  C  E  N  T  R  A  T  I  O  N  </t>
  </si>
  <si>
    <t>Step 3: Allocate their baseline loading to all facilites &lt; IU Contribution Limit (97 ng/l).  In this case, Industry 1 reallocated from 97 to 20 ng/l.  The concentration limit for other IUs rises to 125 ng/l.</t>
  </si>
  <si>
    <t>M   A   S   S      L   I   M   I   T   S</t>
  </si>
  <si>
    <t>Methodology for Exploring Allocations considering treatability</t>
  </si>
  <si>
    <t>Step 5: Examine allocation of baseline loading to groups of facilities.  In this case, Revised concnetration limits drop to 99 ng/l (column R).</t>
  </si>
  <si>
    <t>Step 4: Sequentially allocate the baseline loading to facilities with treatability or other challenges the WWTP deems significant.  In this case, revised concentration limits drop to 105 - 121 ng/l  (columns N and P).</t>
  </si>
  <si>
    <t>Industrial User (IU) Information</t>
  </si>
  <si>
    <t>(MAHL = Maximum Allowable Headworks Load)</t>
  </si>
  <si>
    <t>Safety Factor (SF)</t>
  </si>
  <si>
    <t>(MAIL = Maximum Allowable Industrial Load)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</si>
</sst>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0070C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slantDashDot">
        <color auto="1"/>
      </left>
      <right/>
      <top/>
      <bottom/>
      <diagonal/>
    </border>
    <border>
      <left style="slantDashDot">
        <color auto="1"/>
      </left>
      <right style="thin">
        <color auto="1"/>
      </right>
      <top/>
      <bottom/>
      <diagonal/>
    </border>
    <border>
      <left style="slantDashDot">
        <color auto="1"/>
      </left>
      <right style="thin">
        <color indexed="64"/>
      </right>
      <top/>
      <bottom style="thin">
        <color auto="1"/>
      </bottom>
      <diagonal/>
    </border>
    <border>
      <left/>
      <right style="slantDashDot">
        <color auto="1"/>
      </right>
      <top/>
      <bottom/>
      <diagonal/>
    </border>
    <border>
      <left style="thin">
        <color auto="1"/>
      </left>
      <right style="slantDashDot">
        <color auto="1"/>
      </right>
      <top/>
      <bottom/>
      <diagonal/>
    </border>
    <border>
      <left style="thin">
        <color auto="1"/>
      </left>
      <right style="slantDashDot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2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left" indent="1"/>
    </xf>
    <xf numFmtId="9" fontId="0" fillId="0" borderId="0" xfId="2" applyFont="1"/>
    <xf numFmtId="0" fontId="4" fillId="0" borderId="0" xfId="0" applyFont="1" applyAlignment="1">
      <alignment horizontal="center"/>
    </xf>
    <xf numFmtId="0" fontId="4" fillId="0" borderId="0" xfId="0" applyFont="1"/>
    <xf numFmtId="0" fontId="7" fillId="0" borderId="0" xfId="0" applyFont="1" applyAlignment="1">
      <alignment horizontal="center" wrapText="1"/>
    </xf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right" wrapText="1"/>
    </xf>
    <xf numFmtId="0" fontId="2" fillId="0" borderId="0" xfId="0" applyFont="1"/>
    <xf numFmtId="0" fontId="0" fillId="2" borderId="0" xfId="0" applyFill="1" applyAlignment="1">
      <alignment horizontal="center"/>
    </xf>
    <xf numFmtId="0" fontId="3" fillId="2" borderId="0" xfId="0" applyFont="1" applyFill="1"/>
    <xf numFmtId="0" fontId="3" fillId="3" borderId="0" xfId="0" applyFont="1" applyFill="1"/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3" fillId="4" borderId="0" xfId="0" applyFont="1" applyFill="1"/>
    <xf numFmtId="0" fontId="0" fillId="4" borderId="0" xfId="0" applyFill="1" applyAlignment="1">
      <alignment horizontal="right"/>
    </xf>
    <xf numFmtId="0" fontId="0" fillId="4" borderId="0" xfId="0" applyFill="1" applyAlignment="1">
      <alignment horizontal="center" wrapText="1"/>
    </xf>
    <xf numFmtId="0" fontId="0" fillId="5" borderId="0" xfId="0" applyFill="1"/>
    <xf numFmtId="0" fontId="0" fillId="6" borderId="0" xfId="0" applyFill="1" applyAlignment="1">
      <alignment horizontal="center" wrapText="1"/>
    </xf>
    <xf numFmtId="0" fontId="3" fillId="6" borderId="0" xfId="0" applyFont="1" applyFill="1"/>
    <xf numFmtId="0" fontId="0" fillId="6" borderId="0" xfId="0" applyFill="1"/>
    <xf numFmtId="0" fontId="0" fillId="6" borderId="0" xfId="0" applyFill="1" applyAlignment="1">
      <alignment horizontal="right"/>
    </xf>
    <xf numFmtId="0" fontId="3" fillId="7" borderId="0" xfId="0" applyFont="1" applyFill="1"/>
    <xf numFmtId="0" fontId="0" fillId="7" borderId="0" xfId="0" applyFill="1"/>
    <xf numFmtId="0" fontId="0" fillId="7" borderId="0" xfId="0" applyFill="1" applyAlignment="1">
      <alignment horizontal="right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/>
    <xf numFmtId="0" fontId="9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11" borderId="1" xfId="0" applyFill="1" applyBorder="1" applyAlignment="1">
      <alignment horizontal="center"/>
    </xf>
    <xf numFmtId="0" fontId="0" fillId="11" borderId="1" xfId="0" applyFill="1" applyBorder="1" applyAlignment="1">
      <alignment horizontal="center" wrapText="1"/>
    </xf>
    <xf numFmtId="0" fontId="0" fillId="11" borderId="2" xfId="0" applyFill="1" applyBorder="1" applyAlignment="1">
      <alignment horizontal="center"/>
    </xf>
    <xf numFmtId="0" fontId="0" fillId="0" borderId="4" xfId="0" applyBorder="1"/>
    <xf numFmtId="2" fontId="0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9" fontId="0" fillId="0" borderId="1" xfId="2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10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wrapText="1"/>
    </xf>
    <xf numFmtId="0" fontId="3" fillId="7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1" fontId="0" fillId="4" borderId="1" xfId="0" applyNumberFormat="1" applyFill="1" applyBorder="1" applyAlignment="1">
      <alignment horizontal="right"/>
    </xf>
    <xf numFmtId="1" fontId="3" fillId="6" borderId="1" xfId="0" applyNumberFormat="1" applyFont="1" applyFill="1" applyBorder="1" applyAlignment="1">
      <alignment horizontal="right"/>
    </xf>
    <xf numFmtId="0" fontId="3" fillId="7" borderId="1" xfId="0" applyFont="1" applyFill="1" applyBorder="1" applyAlignment="1">
      <alignment horizontal="right" wrapText="1"/>
    </xf>
    <xf numFmtId="1" fontId="3" fillId="6" borderId="1" xfId="0" applyNumberFormat="1" applyFon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right"/>
    </xf>
    <xf numFmtId="0" fontId="5" fillId="6" borderId="1" xfId="0" applyFont="1" applyFill="1" applyBorder="1" applyAlignment="1">
      <alignment horizontal="right"/>
    </xf>
    <xf numFmtId="0" fontId="5" fillId="7" borderId="1" xfId="0" applyFont="1" applyFill="1" applyBorder="1" applyAlignment="1">
      <alignment horizontal="right"/>
    </xf>
    <xf numFmtId="1" fontId="3" fillId="7" borderId="1" xfId="0" applyNumberFormat="1" applyFont="1" applyFill="1" applyBorder="1" applyAlignment="1">
      <alignment horizontal="right"/>
    </xf>
    <xf numFmtId="0" fontId="5" fillId="4" borderId="1" xfId="0" applyFont="1" applyFill="1" applyBorder="1" applyAlignment="1">
      <alignment horizontal="right"/>
    </xf>
    <xf numFmtId="1" fontId="5" fillId="6" borderId="1" xfId="0" applyNumberFormat="1" applyFont="1" applyFill="1" applyBorder="1" applyAlignment="1">
      <alignment horizontal="right"/>
    </xf>
    <xf numFmtId="0" fontId="0" fillId="0" borderId="2" xfId="0" applyBorder="1" applyAlignment="1">
      <alignment horizontal="center" wrapText="1"/>
    </xf>
    <xf numFmtId="0" fontId="0" fillId="0" borderId="1" xfId="0" applyBorder="1"/>
    <xf numFmtId="0" fontId="0" fillId="10" borderId="1" xfId="0" applyFill="1" applyBorder="1" applyAlignment="1">
      <alignment horizontal="center" wrapText="1"/>
    </xf>
    <xf numFmtId="0" fontId="3" fillId="9" borderId="1" xfId="0" applyFont="1" applyFill="1" applyBorder="1" applyAlignment="1">
      <alignment horizontal="center" wrapText="1"/>
    </xf>
    <xf numFmtId="0" fontId="3" fillId="8" borderId="1" xfId="0" applyFont="1" applyFill="1" applyBorder="1" applyAlignment="1">
      <alignment horizontal="center" wrapText="1"/>
    </xf>
    <xf numFmtId="0" fontId="0" fillId="9" borderId="1" xfId="0" applyFill="1" applyBorder="1" applyAlignment="1">
      <alignment horizontal="center" wrapText="1"/>
    </xf>
    <xf numFmtId="0" fontId="0" fillId="8" borderId="1" xfId="0" applyFill="1" applyBorder="1" applyAlignment="1">
      <alignment horizontal="center" wrapText="1"/>
    </xf>
    <xf numFmtId="0" fontId="0" fillId="10" borderId="2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10" borderId="1" xfId="0" applyFill="1" applyBorder="1"/>
    <xf numFmtId="0" fontId="0" fillId="9" borderId="1" xfId="0" applyFill="1" applyBorder="1"/>
    <xf numFmtId="0" fontId="0" fillId="8" borderId="1" xfId="0" applyFill="1" applyBorder="1"/>
    <xf numFmtId="164" fontId="0" fillId="10" borderId="1" xfId="0" applyNumberFormat="1" applyFill="1" applyBorder="1" applyAlignment="1">
      <alignment horizontal="left" indent="1"/>
    </xf>
    <xf numFmtId="164" fontId="0" fillId="9" borderId="1" xfId="0" applyNumberFormat="1" applyFill="1" applyBorder="1" applyAlignment="1">
      <alignment horizontal="left" indent="1"/>
    </xf>
    <xf numFmtId="164" fontId="0" fillId="8" borderId="1" xfId="0" applyNumberFormat="1" applyFill="1" applyBorder="1" applyAlignment="1">
      <alignment horizontal="left" indent="1"/>
    </xf>
    <xf numFmtId="0" fontId="0" fillId="0" borderId="2" xfId="0" applyBorder="1"/>
    <xf numFmtId="0" fontId="0" fillId="11" borderId="5" xfId="0" applyFill="1" applyBorder="1" applyAlignment="1">
      <alignment horizontal="center"/>
    </xf>
    <xf numFmtId="0" fontId="0" fillId="11" borderId="5" xfId="0" applyFill="1" applyBorder="1" applyAlignment="1">
      <alignment horizontal="center" wrapText="1"/>
    </xf>
    <xf numFmtId="0" fontId="0" fillId="11" borderId="3" xfId="0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/>
    </xf>
    <xf numFmtId="0" fontId="0" fillId="2" borderId="7" xfId="0" applyFill="1" applyBorder="1"/>
    <xf numFmtId="164" fontId="0" fillId="2" borderId="7" xfId="0" applyNumberFormat="1" applyFill="1" applyBorder="1" applyAlignment="1">
      <alignment horizontal="left" indent="1"/>
    </xf>
    <xf numFmtId="164" fontId="0" fillId="2" borderId="8" xfId="0" applyNumberFormat="1" applyFill="1" applyBorder="1" applyAlignment="1">
      <alignment horizontal="left" indent="1"/>
    </xf>
    <xf numFmtId="0" fontId="2" fillId="11" borderId="5" xfId="0" applyFont="1" applyFill="1" applyBorder="1" applyAlignment="1">
      <alignment horizontal="center"/>
    </xf>
    <xf numFmtId="0" fontId="2" fillId="11" borderId="5" xfId="0" applyFont="1" applyFill="1" applyBorder="1" applyAlignment="1">
      <alignment horizontal="center" wrapText="1"/>
    </xf>
    <xf numFmtId="0" fontId="2" fillId="11" borderId="3" xfId="0" applyFont="1" applyFill="1" applyBorder="1" applyAlignment="1">
      <alignment horizontal="center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2" borderId="7" xfId="0" applyFill="1" applyBorder="1" applyAlignment="1">
      <alignment horizontal="right"/>
    </xf>
    <xf numFmtId="1" fontId="0" fillId="2" borderId="7" xfId="0" applyNumberFormat="1" applyFill="1" applyBorder="1" applyAlignment="1">
      <alignment horizontal="right"/>
    </xf>
    <xf numFmtId="1" fontId="0" fillId="2" borderId="8" xfId="0" applyNumberFormat="1" applyFill="1" applyBorder="1" applyAlignment="1">
      <alignment horizontal="right"/>
    </xf>
    <xf numFmtId="0" fontId="0" fillId="0" borderId="9" xfId="0" applyBorder="1"/>
    <xf numFmtId="0" fontId="6" fillId="0" borderId="10" xfId="0" applyFont="1" applyBorder="1" applyAlignment="1">
      <alignment horizontal="center" wrapText="1"/>
    </xf>
    <xf numFmtId="0" fontId="3" fillId="7" borderId="10" xfId="0" applyFont="1" applyFill="1" applyBorder="1" applyAlignment="1">
      <alignment horizontal="center" wrapText="1"/>
    </xf>
    <xf numFmtId="0" fontId="0" fillId="7" borderId="10" xfId="0" applyFill="1" applyBorder="1" applyAlignment="1">
      <alignment horizontal="center" wrapText="1"/>
    </xf>
    <xf numFmtId="0" fontId="0" fillId="7" borderId="11" xfId="0" applyFill="1" applyBorder="1" applyAlignment="1">
      <alignment horizontal="center"/>
    </xf>
    <xf numFmtId="0" fontId="0" fillId="7" borderId="10" xfId="0" applyFill="1" applyBorder="1"/>
    <xf numFmtId="164" fontId="0" fillId="7" borderId="10" xfId="0" applyNumberFormat="1" applyFill="1" applyBorder="1" applyAlignment="1">
      <alignment horizontal="left" indent="1"/>
    </xf>
    <xf numFmtId="0" fontId="0" fillId="0" borderId="11" xfId="0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CFC63-FA88-4EAE-9E55-E0A1E8B3230B}">
  <sheetPr>
    <pageSetUpPr fitToPage="1"/>
  </sheetPr>
  <dimension ref="A1:Z42"/>
  <sheetViews>
    <sheetView tabSelected="1" zoomScale="83" zoomScaleNormal="83" workbookViewId="0">
      <selection activeCell="P33" sqref="P33"/>
    </sheetView>
  </sheetViews>
  <sheetFormatPr defaultRowHeight="14.4" outlineLevelCol="1" x14ac:dyDescent="0.3"/>
  <cols>
    <col min="1" max="1" width="28.21875" customWidth="1"/>
    <col min="2" max="2" width="11.33203125" customWidth="1" outlineLevel="1"/>
    <col min="3" max="3" width="9.21875" outlineLevel="1"/>
    <col min="4" max="4" width="10.44140625" customWidth="1"/>
    <col min="5" max="5" width="10.77734375" customWidth="1"/>
    <col min="6" max="6" width="11.44140625" customWidth="1"/>
    <col min="7" max="7" width="1.33203125" hidden="1" customWidth="1"/>
    <col min="8" max="8" width="14.21875" style="7" customWidth="1"/>
    <col min="9" max="9" width="1.33203125" hidden="1" customWidth="1"/>
    <col min="10" max="10" width="12.44140625" customWidth="1"/>
    <col min="11" max="11" width="1.33203125" hidden="1" customWidth="1"/>
    <col min="12" max="12" width="12.21875" customWidth="1"/>
    <col min="13" max="13" width="1.33203125" hidden="1" customWidth="1"/>
    <col min="14" max="14" width="10.21875" customWidth="1"/>
    <col min="15" max="15" width="1.21875" style="3" hidden="1" customWidth="1"/>
    <col min="16" max="16" width="10.21875" style="3" customWidth="1"/>
    <col min="17" max="17" width="1.21875" style="3" hidden="1" customWidth="1"/>
    <col min="18" max="18" width="14.44140625" style="3" customWidth="1"/>
    <col min="19" max="19" width="1.21875" hidden="1" customWidth="1"/>
    <col min="20" max="21" width="13.21875" customWidth="1"/>
    <col min="23" max="23" width="10.44140625" customWidth="1"/>
    <col min="24" max="24" width="11" customWidth="1"/>
    <col min="25" max="25" width="14.5546875" customWidth="1"/>
    <col min="26" max="26" width="11.21875" bestFit="1" customWidth="1"/>
  </cols>
  <sheetData>
    <row r="1" spans="1:26" x14ac:dyDescent="0.3">
      <c r="A1" t="s">
        <v>34</v>
      </c>
      <c r="B1">
        <v>12</v>
      </c>
      <c r="C1" t="s">
        <v>14</v>
      </c>
    </row>
    <row r="2" spans="1:26" x14ac:dyDescent="0.3">
      <c r="A2" t="s">
        <v>48</v>
      </c>
      <c r="B2" s="10">
        <v>0.3</v>
      </c>
    </row>
    <row r="3" spans="1:26" x14ac:dyDescent="0.3">
      <c r="A3" t="s">
        <v>0</v>
      </c>
      <c r="B3" s="1">
        <v>25</v>
      </c>
      <c r="C3" t="s">
        <v>35</v>
      </c>
    </row>
    <row r="4" spans="1:26" ht="16.2" x14ac:dyDescent="0.3">
      <c r="A4" t="s">
        <v>1</v>
      </c>
      <c r="B4" s="36">
        <f>B1*B3*8.34</f>
        <v>2502</v>
      </c>
      <c r="C4" s="4" t="s">
        <v>23</v>
      </c>
      <c r="D4" s="37" t="s">
        <v>47</v>
      </c>
    </row>
    <row r="5" spans="1:26" ht="16.2" x14ac:dyDescent="0.3">
      <c r="A5" t="s">
        <v>36</v>
      </c>
      <c r="B5" s="36">
        <f>B4*(1-B2)</f>
        <v>1751.3999999999999</v>
      </c>
      <c r="C5" s="4" t="s">
        <v>23</v>
      </c>
    </row>
    <row r="6" spans="1:26" ht="18" x14ac:dyDescent="0.35">
      <c r="A6" t="s">
        <v>2</v>
      </c>
      <c r="B6" s="36">
        <f>D18</f>
        <v>796.59676799999988</v>
      </c>
      <c r="C6" s="4" t="s">
        <v>23</v>
      </c>
      <c r="S6" s="11"/>
    </row>
    <row r="7" spans="1:26" ht="18" x14ac:dyDescent="0.35">
      <c r="A7" t="s">
        <v>3</v>
      </c>
      <c r="B7" s="36">
        <f>B5-B6</f>
        <v>954.80323199999998</v>
      </c>
      <c r="C7" s="4" t="s">
        <v>23</v>
      </c>
      <c r="D7" s="37" t="s">
        <v>49</v>
      </c>
      <c r="G7" s="8"/>
      <c r="S7" s="11"/>
    </row>
    <row r="8" spans="1:26" ht="18" x14ac:dyDescent="0.35">
      <c r="B8" s="36"/>
      <c r="C8" s="4"/>
      <c r="D8" s="37"/>
      <c r="G8" s="8"/>
      <c r="S8" s="11" t="s">
        <v>16</v>
      </c>
    </row>
    <row r="9" spans="1:26" x14ac:dyDescent="0.3">
      <c r="S9" s="4"/>
    </row>
    <row r="10" spans="1:26" ht="15.6" x14ac:dyDescent="0.3">
      <c r="G10" s="106"/>
      <c r="H10" s="109"/>
      <c r="L10" s="53" t="s">
        <v>40</v>
      </c>
      <c r="S10" s="96"/>
      <c r="T10" s="99"/>
      <c r="V10" s="53" t="s">
        <v>42</v>
      </c>
      <c r="Y10" s="114"/>
    </row>
    <row r="11" spans="1:26" x14ac:dyDescent="0.3">
      <c r="G11" s="106"/>
      <c r="H11" s="99"/>
      <c r="O11"/>
      <c r="P11"/>
      <c r="Q11"/>
      <c r="R11"/>
      <c r="S11" s="96"/>
      <c r="T11" s="99"/>
      <c r="Y11" s="114"/>
    </row>
    <row r="12" spans="1:26" ht="18" x14ac:dyDescent="0.35">
      <c r="B12" s="10"/>
      <c r="C12" s="12" t="s">
        <v>46</v>
      </c>
      <c r="G12" s="106"/>
      <c r="H12" s="109"/>
      <c r="S12" s="96"/>
      <c r="T12" s="99"/>
      <c r="Y12" s="114"/>
    </row>
    <row r="13" spans="1:26" ht="28.8" x14ac:dyDescent="0.3">
      <c r="A13" s="15" t="s">
        <v>31</v>
      </c>
      <c r="G13" s="107"/>
      <c r="H13" s="110"/>
      <c r="I13" s="40"/>
      <c r="J13" s="38"/>
      <c r="K13" s="40"/>
      <c r="L13" s="54" t="s">
        <v>18</v>
      </c>
      <c r="M13" s="40"/>
      <c r="N13" s="55" t="s">
        <v>28</v>
      </c>
      <c r="O13" s="41"/>
      <c r="P13" s="55" t="s">
        <v>29</v>
      </c>
      <c r="Q13" s="41"/>
      <c r="R13" s="55" t="s">
        <v>30</v>
      </c>
      <c r="S13" s="97"/>
      <c r="T13" s="100"/>
      <c r="U13" s="80"/>
      <c r="V13" s="54" t="s">
        <v>18</v>
      </c>
      <c r="W13" s="55" t="s">
        <v>28</v>
      </c>
      <c r="X13" s="55" t="s">
        <v>29</v>
      </c>
      <c r="Y13" s="115" t="s">
        <v>30</v>
      </c>
    </row>
    <row r="14" spans="1:26" ht="28.8" x14ac:dyDescent="0.3">
      <c r="G14" s="107"/>
      <c r="H14" s="101" t="s">
        <v>37</v>
      </c>
      <c r="I14" s="40"/>
      <c r="J14" s="56" t="s">
        <v>22</v>
      </c>
      <c r="K14" s="40"/>
      <c r="L14" s="57" t="s">
        <v>17</v>
      </c>
      <c r="M14" s="41"/>
      <c r="N14" s="58" t="s">
        <v>17</v>
      </c>
      <c r="O14" s="41"/>
      <c r="P14" s="58" t="s">
        <v>17</v>
      </c>
      <c r="Q14" s="41"/>
      <c r="R14" s="59" t="s">
        <v>17</v>
      </c>
      <c r="S14" s="97"/>
      <c r="T14" s="101" t="s">
        <v>37</v>
      </c>
      <c r="U14" s="81" t="s">
        <v>39</v>
      </c>
      <c r="V14" s="82" t="s">
        <v>17</v>
      </c>
      <c r="W14" s="83" t="s">
        <v>17</v>
      </c>
      <c r="X14" s="83" t="s">
        <v>17</v>
      </c>
      <c r="Y14" s="116" t="s">
        <v>17</v>
      </c>
    </row>
    <row r="15" spans="1:26" ht="28.8" x14ac:dyDescent="0.3">
      <c r="B15" s="38" t="s">
        <v>5</v>
      </c>
      <c r="C15" s="38" t="s">
        <v>6</v>
      </c>
      <c r="D15" s="38" t="s">
        <v>7</v>
      </c>
      <c r="E15" s="38" t="s">
        <v>8</v>
      </c>
      <c r="F15" s="39" t="s">
        <v>20</v>
      </c>
      <c r="G15" s="107"/>
      <c r="H15" s="111"/>
      <c r="I15" s="40"/>
      <c r="J15" s="60"/>
      <c r="K15" s="40"/>
      <c r="L15" s="57"/>
      <c r="M15" s="40"/>
      <c r="N15" s="58"/>
      <c r="O15" s="41"/>
      <c r="P15" s="58"/>
      <c r="Q15" s="40"/>
      <c r="R15" s="59"/>
      <c r="S15" s="96"/>
      <c r="T15" s="101"/>
      <c r="U15" s="81"/>
      <c r="V15" s="84"/>
      <c r="W15" s="85"/>
      <c r="X15" s="85"/>
      <c r="Y15" s="117"/>
      <c r="Z15" s="3"/>
    </row>
    <row r="16" spans="1:26" ht="16.2" x14ac:dyDescent="0.3">
      <c r="A16" s="43" t="s">
        <v>4</v>
      </c>
      <c r="B16" s="51" t="s">
        <v>35</v>
      </c>
      <c r="C16" s="51" t="s">
        <v>14</v>
      </c>
      <c r="D16" s="51" t="s">
        <v>23</v>
      </c>
      <c r="E16" s="51" t="s">
        <v>9</v>
      </c>
      <c r="F16" s="51" t="s">
        <v>10</v>
      </c>
      <c r="G16" s="108"/>
      <c r="H16" s="102" t="s">
        <v>14</v>
      </c>
      <c r="I16" s="42"/>
      <c r="J16" s="61" t="s">
        <v>14</v>
      </c>
      <c r="K16" s="42"/>
      <c r="L16" s="62" t="s">
        <v>14</v>
      </c>
      <c r="M16" s="42"/>
      <c r="N16" s="63" t="s">
        <v>14</v>
      </c>
      <c r="O16" s="42"/>
      <c r="P16" s="64" t="s">
        <v>14</v>
      </c>
      <c r="Q16" s="42"/>
      <c r="R16" s="65" t="s">
        <v>14</v>
      </c>
      <c r="S16" s="98"/>
      <c r="T16" s="102" t="s">
        <v>23</v>
      </c>
      <c r="U16" s="86" t="s">
        <v>23</v>
      </c>
      <c r="V16" s="87" t="s">
        <v>23</v>
      </c>
      <c r="W16" s="88" t="s">
        <v>23</v>
      </c>
      <c r="X16" s="88" t="s">
        <v>23</v>
      </c>
      <c r="Y16" s="118" t="s">
        <v>23</v>
      </c>
      <c r="Z16" s="4"/>
    </row>
    <row r="17" spans="1:26" x14ac:dyDescent="0.3">
      <c r="B17" s="38"/>
      <c r="C17" s="38"/>
      <c r="D17" s="38"/>
      <c r="E17" s="38"/>
      <c r="F17" s="38"/>
      <c r="G17" s="106"/>
      <c r="H17" s="111"/>
      <c r="I17" s="40"/>
      <c r="J17" s="60"/>
      <c r="K17" s="40"/>
      <c r="L17" s="66"/>
      <c r="M17" s="40"/>
      <c r="N17" s="67"/>
      <c r="O17" s="40"/>
      <c r="P17" s="67"/>
      <c r="Q17" s="40"/>
      <c r="R17" s="59"/>
      <c r="S17" s="96"/>
      <c r="T17" s="103"/>
      <c r="U17" s="89"/>
      <c r="V17" s="90"/>
      <c r="W17" s="91"/>
      <c r="X17" s="91"/>
      <c r="Y17" s="119"/>
    </row>
    <row r="18" spans="1:26" x14ac:dyDescent="0.3">
      <c r="A18" t="s">
        <v>2</v>
      </c>
      <c r="B18" s="44">
        <f>B3-B31</f>
        <v>23.878799999999998</v>
      </c>
      <c r="C18" s="45">
        <v>4</v>
      </c>
      <c r="D18" s="45">
        <f>B18*8.34*C18</f>
        <v>796.59676799999988</v>
      </c>
      <c r="E18" s="46">
        <f>D18/D$27</f>
        <v>0.29310361758120901</v>
      </c>
      <c r="F18" s="38">
        <v>10</v>
      </c>
      <c r="G18" s="106"/>
      <c r="H18" s="112">
        <v>4</v>
      </c>
      <c r="I18" s="40"/>
      <c r="J18" s="60">
        <v>4</v>
      </c>
      <c r="K18" s="40"/>
      <c r="L18" s="68">
        <v>4</v>
      </c>
      <c r="M18" s="40"/>
      <c r="N18" s="69">
        <v>4</v>
      </c>
      <c r="O18" s="40"/>
      <c r="P18" s="67">
        <v>4</v>
      </c>
      <c r="Q18" s="40"/>
      <c r="R18" s="70">
        <v>4</v>
      </c>
      <c r="S18" s="96"/>
      <c r="T18" s="103"/>
      <c r="U18" s="89"/>
      <c r="V18" s="90"/>
      <c r="W18" s="91"/>
      <c r="X18" s="91"/>
      <c r="Y18" s="119"/>
    </row>
    <row r="19" spans="1:26" x14ac:dyDescent="0.3">
      <c r="B19" s="44"/>
      <c r="C19" s="38"/>
      <c r="D19" s="47"/>
      <c r="E19" s="46"/>
      <c r="F19" s="38"/>
      <c r="G19" s="106"/>
      <c r="H19" s="112"/>
      <c r="I19" s="40"/>
      <c r="J19" s="60"/>
      <c r="K19" s="40"/>
      <c r="L19" s="68"/>
      <c r="M19" s="40"/>
      <c r="N19" s="71"/>
      <c r="O19" s="40"/>
      <c r="P19" s="67"/>
      <c r="Q19" s="40"/>
      <c r="R19" s="70"/>
      <c r="S19" s="96"/>
      <c r="T19" s="103"/>
      <c r="U19" s="89"/>
      <c r="V19" s="90"/>
      <c r="W19" s="91"/>
      <c r="X19" s="91"/>
      <c r="Y19" s="119"/>
    </row>
    <row r="20" spans="1:26" x14ac:dyDescent="0.3">
      <c r="A20" t="s">
        <v>25</v>
      </c>
      <c r="B20" s="44">
        <f>50000/1000000</f>
        <v>0.05</v>
      </c>
      <c r="C20" s="38">
        <v>200</v>
      </c>
      <c r="D20" s="45">
        <f>(B20*8.34*(C20))</f>
        <v>83.4</v>
      </c>
      <c r="E20" s="46">
        <f t="shared" ref="E20:E25" si="0">D20/D$27</f>
        <v>3.0686594131741237E-2</v>
      </c>
      <c r="F20" s="38">
        <v>7</v>
      </c>
      <c r="G20" s="106"/>
      <c r="H20" s="112">
        <f>B7/(8.34*B31)</f>
        <v>102.10916874777025</v>
      </c>
      <c r="I20" s="40"/>
      <c r="J20" s="72">
        <f>$B$7/(8.34*$B$30)</f>
        <v>105.88679245283018</v>
      </c>
      <c r="K20" s="40"/>
      <c r="L20" s="73">
        <f>($B$7-$D$23)/(8.34*((SUM($B$20:$B$24)-$B$23)))</f>
        <v>125.37993645029505</v>
      </c>
      <c r="M20" s="40"/>
      <c r="N20" s="74">
        <v>200</v>
      </c>
      <c r="O20" s="40"/>
      <c r="P20" s="69">
        <f>($B$7-($D$23+$D$21))/(8.34*((SUM($B$20:$B$24)-($B$23+$B$21))))</f>
        <v>105.12781954887218</v>
      </c>
      <c r="Q20" s="40"/>
      <c r="R20" s="75">
        <v>200</v>
      </c>
      <c r="S20" s="96"/>
      <c r="T20" s="104">
        <f>$B20*8.34*H20</f>
        <v>42.579523367820201</v>
      </c>
      <c r="U20" s="92">
        <f>B20*8.34*J20</f>
        <v>44.154792452830186</v>
      </c>
      <c r="V20" s="93">
        <f>B20*8.34*L20</f>
        <v>52.283433499773039</v>
      </c>
      <c r="W20" s="94">
        <f>B20*8.34*N20</f>
        <v>83.4</v>
      </c>
      <c r="X20" s="94">
        <f>$B20*8.34*P20</f>
        <v>43.838300751879707</v>
      </c>
      <c r="Y20" s="120">
        <f>$B20*8.34*R20</f>
        <v>83.4</v>
      </c>
      <c r="Z20" s="9"/>
    </row>
    <row r="21" spans="1:26" x14ac:dyDescent="0.3">
      <c r="A21" t="s">
        <v>26</v>
      </c>
      <c r="B21" s="44">
        <f>30000/1000000</f>
        <v>0.03</v>
      </c>
      <c r="C21" s="48">
        <v>700</v>
      </c>
      <c r="D21" s="45">
        <f>B21*8.34*C21</f>
        <v>175.14</v>
      </c>
      <c r="E21" s="46">
        <f t="shared" si="0"/>
        <v>6.4441847676656588E-2</v>
      </c>
      <c r="F21" s="38">
        <v>7</v>
      </c>
      <c r="G21" s="106"/>
      <c r="H21" s="112">
        <f>H20</f>
        <v>102.10916874777025</v>
      </c>
      <c r="I21" s="40"/>
      <c r="J21" s="72">
        <f>$B$7/(8.34*$B$30)</f>
        <v>105.88679245283018</v>
      </c>
      <c r="K21" s="40"/>
      <c r="L21" s="73">
        <f>($B$7-$D$23)/(8.34*((SUM($B$20:$B$24)-$B$23)))</f>
        <v>125.37993645029505</v>
      </c>
      <c r="M21" s="40"/>
      <c r="N21" s="69">
        <f>($B$7-($D$23+$D$20))/(8.34*((SUM($B$20:$B$24)-($B$23+$B$20))))</f>
        <v>120.89124157844083</v>
      </c>
      <c r="O21" s="40"/>
      <c r="P21" s="74">
        <v>700</v>
      </c>
      <c r="Q21" s="40"/>
      <c r="R21" s="75">
        <v>700</v>
      </c>
      <c r="S21" s="96"/>
      <c r="T21" s="104">
        <f t="shared" ref="T21:T23" si="1">$B21*8.34*H21</f>
        <v>25.547714020692116</v>
      </c>
      <c r="U21" s="92">
        <f t="shared" ref="U21:U24" si="2">B21*8.34*J21</f>
        <v>26.49287547169811</v>
      </c>
      <c r="V21" s="93">
        <f t="shared" ref="V21:V24" si="3">B21*8.34*L21</f>
        <v>31.370060099863817</v>
      </c>
      <c r="W21" s="94">
        <f t="shared" ref="W21:W24" si="4">B21*8.34*N21</f>
        <v>30.246988642925892</v>
      </c>
      <c r="X21" s="94">
        <f t="shared" ref="X21:X24" si="5">$B21*8.34*P21</f>
        <v>175.14</v>
      </c>
      <c r="Y21" s="120">
        <f t="shared" ref="Y21:Y24" si="6">$B21*8.34*R21</f>
        <v>175.14</v>
      </c>
      <c r="Z21" s="9"/>
    </row>
    <row r="22" spans="1:26" x14ac:dyDescent="0.3">
      <c r="A22" t="s">
        <v>11</v>
      </c>
      <c r="B22" s="44">
        <f>300000/1000000</f>
        <v>0.3</v>
      </c>
      <c r="C22" s="38">
        <v>150</v>
      </c>
      <c r="D22" s="45">
        <f>B22*8.34*C22</f>
        <v>375.29999999999995</v>
      </c>
      <c r="E22" s="46">
        <f t="shared" si="0"/>
        <v>0.13808967359283555</v>
      </c>
      <c r="F22" s="38">
        <v>4</v>
      </c>
      <c r="G22" s="106"/>
      <c r="H22" s="112">
        <f t="shared" ref="H22:H25" si="7">H21</f>
        <v>102.10916874777025</v>
      </c>
      <c r="I22" s="40"/>
      <c r="J22" s="72">
        <f>$B$7/(8.34*$B$30)</f>
        <v>105.88679245283018</v>
      </c>
      <c r="K22" s="40"/>
      <c r="L22" s="73">
        <f>($B$7-$D$23)/(8.34*((SUM($B$20:$B$24)-$B$23)))</f>
        <v>125.37993645029505</v>
      </c>
      <c r="M22" s="40"/>
      <c r="N22" s="69">
        <f>($B$7-($D$23+$D$20))/(8.34*((SUM($B$20:$B$24)-($B$23+$B$20))))</f>
        <v>120.89124157844083</v>
      </c>
      <c r="O22" s="40"/>
      <c r="P22" s="69">
        <f>($B$7-($D$23+$D$21))/(8.34*((SUM($B$20:$B$24)-($B$23+$B$21))))</f>
        <v>105.12781954887218</v>
      </c>
      <c r="Q22" s="40"/>
      <c r="R22" s="76">
        <f>(($B$7-($D$23+$D$20+$D$21))/(8.34*(SUM($B$20:$B$24)-($B$23+$B$20+$B$21))))</f>
        <v>99.207189216175749</v>
      </c>
      <c r="S22" s="96"/>
      <c r="T22" s="104">
        <f t="shared" si="1"/>
        <v>255.47714020692115</v>
      </c>
      <c r="U22" s="92">
        <f t="shared" si="2"/>
        <v>264.92875471698108</v>
      </c>
      <c r="V22" s="93">
        <f t="shared" si="3"/>
        <v>313.70060099863821</v>
      </c>
      <c r="W22" s="94">
        <f t="shared" si="4"/>
        <v>302.46988642925891</v>
      </c>
      <c r="X22" s="94">
        <f t="shared" si="5"/>
        <v>263.0298045112782</v>
      </c>
      <c r="Y22" s="120">
        <f t="shared" si="6"/>
        <v>248.2163874188717</v>
      </c>
      <c r="Z22" s="9"/>
    </row>
    <row r="23" spans="1:26" x14ac:dyDescent="0.3">
      <c r="A23" t="s">
        <v>12</v>
      </c>
      <c r="B23" s="44">
        <f>200000/1000000</f>
        <v>0.2</v>
      </c>
      <c r="C23" s="38">
        <v>20</v>
      </c>
      <c r="D23" s="45">
        <f>B23*8.34*C23</f>
        <v>33.36</v>
      </c>
      <c r="E23" s="46">
        <f t="shared" si="0"/>
        <v>1.2274637652696494E-2</v>
      </c>
      <c r="F23" s="38">
        <v>7</v>
      </c>
      <c r="G23" s="106"/>
      <c r="H23" s="112">
        <f t="shared" si="7"/>
        <v>102.10916874777025</v>
      </c>
      <c r="I23" s="40"/>
      <c r="J23" s="72">
        <f>$B$7/(8.34*$B$30)</f>
        <v>105.88679245283018</v>
      </c>
      <c r="K23" s="40"/>
      <c r="L23" s="77">
        <v>20</v>
      </c>
      <c r="M23" s="40"/>
      <c r="N23" s="74">
        <v>20</v>
      </c>
      <c r="O23" s="40"/>
      <c r="P23" s="78">
        <v>20</v>
      </c>
      <c r="Q23" s="40"/>
      <c r="R23" s="75">
        <v>20</v>
      </c>
      <c r="S23" s="96"/>
      <c r="T23" s="104">
        <f t="shared" si="1"/>
        <v>170.3180934712808</v>
      </c>
      <c r="U23" s="92">
        <f t="shared" si="2"/>
        <v>176.61916981132075</v>
      </c>
      <c r="V23" s="93">
        <f t="shared" si="3"/>
        <v>33.36</v>
      </c>
      <c r="W23" s="94">
        <f t="shared" si="4"/>
        <v>33.36</v>
      </c>
      <c r="X23" s="94">
        <f t="shared" si="5"/>
        <v>33.36</v>
      </c>
      <c r="Y23" s="120">
        <f t="shared" si="6"/>
        <v>33.36</v>
      </c>
      <c r="Z23" s="9"/>
    </row>
    <row r="24" spans="1:26" x14ac:dyDescent="0.3">
      <c r="A24" t="s">
        <v>13</v>
      </c>
      <c r="B24" s="49">
        <f>501200/1000000</f>
        <v>0.50119999999999998</v>
      </c>
      <c r="C24" s="38">
        <v>300</v>
      </c>
      <c r="D24" s="45">
        <f>B24*8.34*C24</f>
        <v>1254.0024000000001</v>
      </c>
      <c r="E24" s="46">
        <f t="shared" si="0"/>
        <v>0.46140362936486123</v>
      </c>
      <c r="F24" s="38">
        <v>4</v>
      </c>
      <c r="G24" s="106"/>
      <c r="H24" s="112">
        <f t="shared" si="7"/>
        <v>102.10916874777025</v>
      </c>
      <c r="I24" s="40"/>
      <c r="J24" s="72">
        <f>$B$7/(8.34*$B$30)</f>
        <v>105.88679245283018</v>
      </c>
      <c r="K24" s="40"/>
      <c r="L24" s="73">
        <f>($B$7-$D$23)/(8.34*((SUM($B$20:$B$24)-$B$23)))</f>
        <v>125.37993645029505</v>
      </c>
      <c r="M24" s="40"/>
      <c r="N24" s="69">
        <f>($B$7-($D$23+$D$20))/(8.34*((SUM($B$20:$B$24)-($B$23+$B$20))))</f>
        <v>120.89124157844083</v>
      </c>
      <c r="O24" s="40"/>
      <c r="P24" s="69">
        <f>($B$7-($D$23+$D$21))/(8.34*((SUM($B$20:$B$24)-($B$23+$B$21))))</f>
        <v>105.12781954887218</v>
      </c>
      <c r="Q24" s="40"/>
      <c r="R24" s="76">
        <f>(($B$7-($D$23+$D$20+$D$21))/(8.34*(SUM($B$20:$B$24)-($B$23+$B$20+$B$21))))</f>
        <v>99.207189216175749</v>
      </c>
      <c r="S24" s="96"/>
      <c r="T24" s="104">
        <f>$B24*8.34*H24</f>
        <v>426.81714223902964</v>
      </c>
      <c r="U24" s="92">
        <f t="shared" si="2"/>
        <v>442.60763954716975</v>
      </c>
      <c r="V24" s="93">
        <f t="shared" si="3"/>
        <v>524.08913740172488</v>
      </c>
      <c r="W24" s="94">
        <f t="shared" si="4"/>
        <v>505.32635692781525</v>
      </c>
      <c r="X24" s="94">
        <f t="shared" si="5"/>
        <v>439.43512673684211</v>
      </c>
      <c r="Y24" s="120">
        <f t="shared" si="6"/>
        <v>414.68684458112836</v>
      </c>
      <c r="Z24" s="9"/>
    </row>
    <row r="25" spans="1:26" x14ac:dyDescent="0.3">
      <c r="A25" s="43" t="s">
        <v>32</v>
      </c>
      <c r="B25" s="50">
        <f>40000/1000000</f>
        <v>0.04</v>
      </c>
      <c r="C25" s="51">
        <v>0</v>
      </c>
      <c r="D25" s="52">
        <f>B25*8.34*C25</f>
        <v>0</v>
      </c>
      <c r="E25" s="51">
        <f t="shared" si="0"/>
        <v>0</v>
      </c>
      <c r="F25" s="51" t="s">
        <v>38</v>
      </c>
      <c r="G25" s="108"/>
      <c r="H25" s="113">
        <f t="shared" si="7"/>
        <v>102.10916874777025</v>
      </c>
      <c r="I25" s="42"/>
      <c r="J25" s="51"/>
      <c r="K25" s="42"/>
      <c r="L25" s="51"/>
      <c r="M25" s="42"/>
      <c r="N25" s="51"/>
      <c r="O25" s="42"/>
      <c r="P25" s="51"/>
      <c r="Q25" s="42"/>
      <c r="R25" s="79"/>
      <c r="S25" s="98"/>
      <c r="T25" s="105">
        <f>$B25*8.34*H25</f>
        <v>34.063618694256157</v>
      </c>
      <c r="U25" s="95"/>
      <c r="V25" s="95"/>
      <c r="W25" s="95"/>
      <c r="X25" s="95"/>
      <c r="Y25" s="121"/>
    </row>
    <row r="26" spans="1:26" x14ac:dyDescent="0.3">
      <c r="B26" s="35"/>
      <c r="C26" s="4"/>
      <c r="D26" s="34"/>
      <c r="E26" s="4"/>
      <c r="F26" s="4"/>
      <c r="G26" s="8"/>
      <c r="I26" s="4"/>
      <c r="J26" s="4"/>
      <c r="K26" s="4"/>
      <c r="L26" s="4"/>
      <c r="M26" s="4"/>
      <c r="N26" s="4"/>
      <c r="O26" s="4"/>
      <c r="P26" s="4"/>
      <c r="Q26" s="4"/>
      <c r="S26" s="4"/>
    </row>
    <row r="27" spans="1:26" x14ac:dyDescent="0.3">
      <c r="A27" t="s">
        <v>27</v>
      </c>
      <c r="B27" s="35">
        <f>SUM(B18:B25)</f>
        <v>25</v>
      </c>
      <c r="C27" s="4"/>
      <c r="D27" s="6">
        <f>SUM(D18:D25)</f>
        <v>2717.7991679999996</v>
      </c>
      <c r="E27" s="4"/>
      <c r="F27" s="4"/>
      <c r="G27" s="8"/>
      <c r="I27" s="4"/>
      <c r="J27" s="4"/>
      <c r="K27" s="4"/>
      <c r="L27" s="4"/>
      <c r="M27" s="4"/>
      <c r="N27" s="4"/>
      <c r="S27" s="4"/>
    </row>
    <row r="28" spans="1:26" x14ac:dyDescent="0.3">
      <c r="A28" t="s">
        <v>15</v>
      </c>
      <c r="B28" s="35"/>
      <c r="C28" s="4"/>
      <c r="D28" s="6">
        <f>SUM(D20:D25)</f>
        <v>1921.2024000000001</v>
      </c>
      <c r="E28" s="4"/>
      <c r="F28" s="4"/>
      <c r="G28" s="8"/>
      <c r="I28" s="4"/>
      <c r="J28" s="4"/>
      <c r="K28" s="4"/>
      <c r="L28" s="4"/>
      <c r="M28" s="4"/>
      <c r="N28" s="4"/>
      <c r="S28" s="5"/>
      <c r="T28" s="5"/>
      <c r="U28" s="5"/>
      <c r="V28" s="5"/>
      <c r="W28" s="5"/>
      <c r="X28" s="5"/>
      <c r="Y28" s="5"/>
      <c r="Z28" s="5"/>
    </row>
    <row r="29" spans="1:26" x14ac:dyDescent="0.3">
      <c r="B29" s="35"/>
      <c r="C29" s="4"/>
      <c r="D29" s="6"/>
      <c r="E29" s="4"/>
      <c r="F29" s="4"/>
      <c r="G29" s="8"/>
      <c r="I29" s="4"/>
      <c r="J29" s="4"/>
      <c r="K29" s="4"/>
      <c r="L29" s="4"/>
      <c r="M29" s="4"/>
      <c r="N29" s="4"/>
      <c r="S29" s="4"/>
    </row>
    <row r="30" spans="1:26" x14ac:dyDescent="0.3">
      <c r="A30" t="s">
        <v>21</v>
      </c>
      <c r="B30" s="35">
        <f>SUM(B20:B24)</f>
        <v>1.0811999999999999</v>
      </c>
      <c r="C30" s="4"/>
      <c r="D30" s="4"/>
      <c r="E30" s="4"/>
      <c r="F30" s="4"/>
      <c r="G30" s="8"/>
      <c r="I30" s="4"/>
      <c r="J30" s="4"/>
      <c r="K30" s="4"/>
      <c r="L30" s="4"/>
      <c r="M30" s="4"/>
      <c r="N30" s="4"/>
      <c r="S30" s="4"/>
    </row>
    <row r="31" spans="1:26" x14ac:dyDescent="0.3">
      <c r="A31" t="s">
        <v>33</v>
      </c>
      <c r="B31" s="35">
        <f>1121200/1000000</f>
        <v>1.1212</v>
      </c>
      <c r="C31" s="4"/>
      <c r="D31" s="4"/>
      <c r="E31" s="4"/>
      <c r="F31" s="4"/>
      <c r="G31" s="8"/>
      <c r="I31" s="4"/>
      <c r="J31" s="4"/>
      <c r="K31" s="4"/>
      <c r="L31" s="4"/>
      <c r="M31" s="4"/>
      <c r="N31" s="4"/>
      <c r="S31" s="4"/>
    </row>
    <row r="32" spans="1:26" x14ac:dyDescent="0.3">
      <c r="B32" s="4"/>
      <c r="C32" s="4"/>
      <c r="D32" s="4"/>
      <c r="E32" s="4"/>
      <c r="F32" s="4"/>
      <c r="G32" s="4"/>
      <c r="I32" s="4"/>
      <c r="J32" s="4"/>
      <c r="K32" s="4"/>
      <c r="L32" s="4"/>
      <c r="M32" s="4"/>
      <c r="N32" s="4"/>
      <c r="S32" s="4"/>
      <c r="W32" s="2"/>
    </row>
    <row r="33" spans="1:26" x14ac:dyDescent="0.3">
      <c r="A33" s="17" t="s">
        <v>43</v>
      </c>
      <c r="B33" s="4"/>
      <c r="C33" s="4"/>
      <c r="D33" s="4"/>
      <c r="E33" s="4"/>
      <c r="F33" s="4"/>
      <c r="G33" s="4"/>
      <c r="I33" s="4"/>
      <c r="J33" s="4"/>
      <c r="K33" s="4"/>
      <c r="L33" s="4"/>
      <c r="M33" s="4"/>
      <c r="N33" s="4"/>
      <c r="S33" s="4"/>
      <c r="W33" s="2"/>
      <c r="Z33" s="2"/>
    </row>
    <row r="34" spans="1:26" x14ac:dyDescent="0.3">
      <c r="A34" s="19" t="s">
        <v>19</v>
      </c>
      <c r="B34" s="18"/>
      <c r="C34" s="4"/>
      <c r="D34" s="4"/>
      <c r="E34" s="4"/>
      <c r="F34" s="4"/>
      <c r="G34" s="4"/>
      <c r="I34" s="4"/>
      <c r="J34" s="4"/>
      <c r="K34" s="4"/>
      <c r="L34" s="4"/>
      <c r="M34" s="4"/>
      <c r="N34" s="4"/>
      <c r="R34" s="16"/>
      <c r="S34" s="4"/>
    </row>
    <row r="35" spans="1:26" x14ac:dyDescent="0.3">
      <c r="A35" s="20" t="s">
        <v>24</v>
      </c>
      <c r="B35" s="21"/>
      <c r="C35" s="4"/>
      <c r="D35" s="4"/>
      <c r="E35" s="4"/>
      <c r="F35" s="4"/>
      <c r="G35" s="4"/>
      <c r="I35" s="4"/>
      <c r="J35" s="4"/>
      <c r="K35" s="4"/>
      <c r="L35" s="4"/>
      <c r="M35" s="4"/>
      <c r="N35" s="4"/>
      <c r="R35" s="16"/>
      <c r="S35" s="4"/>
    </row>
    <row r="36" spans="1:26" x14ac:dyDescent="0.3">
      <c r="A36" s="23" t="s">
        <v>41</v>
      </c>
      <c r="B36" s="22"/>
      <c r="C36" s="22"/>
      <c r="D36" s="22"/>
      <c r="E36" s="22"/>
      <c r="F36" s="22"/>
      <c r="G36" s="22"/>
      <c r="H36" s="24"/>
      <c r="I36" s="22"/>
      <c r="J36" s="22"/>
      <c r="K36" s="22"/>
      <c r="L36" s="22"/>
      <c r="M36" s="22"/>
      <c r="N36" s="22"/>
      <c r="O36" s="25"/>
      <c r="P36" s="25"/>
      <c r="Q36" s="25"/>
      <c r="R36" s="25"/>
      <c r="S36" s="4"/>
    </row>
    <row r="37" spans="1:26" x14ac:dyDescent="0.3">
      <c r="A37" s="28" t="s">
        <v>45</v>
      </c>
      <c r="B37" s="29"/>
      <c r="C37" s="29"/>
      <c r="D37" s="29"/>
      <c r="E37" s="29"/>
      <c r="F37" s="29"/>
      <c r="G37" s="29"/>
      <c r="H37" s="30"/>
      <c r="I37" s="29"/>
      <c r="J37" s="29"/>
      <c r="K37" s="29"/>
      <c r="L37" s="29"/>
      <c r="M37" s="29"/>
      <c r="N37" s="29"/>
      <c r="O37" s="27"/>
      <c r="P37" s="27"/>
      <c r="Q37" s="27"/>
      <c r="R37" s="27"/>
      <c r="S37" s="27"/>
      <c r="T37" s="3"/>
    </row>
    <row r="38" spans="1:26" x14ac:dyDescent="0.3">
      <c r="A38" s="31" t="s">
        <v>44</v>
      </c>
      <c r="B38" s="32"/>
      <c r="C38" s="32"/>
      <c r="D38" s="32"/>
      <c r="E38" s="32"/>
      <c r="F38" s="32"/>
      <c r="G38" s="32"/>
      <c r="H38" s="33"/>
      <c r="I38" s="32"/>
      <c r="J38" s="32"/>
      <c r="K38" s="32"/>
      <c r="L38" s="32"/>
    </row>
    <row r="39" spans="1:26" x14ac:dyDescent="0.3">
      <c r="A39" s="14"/>
      <c r="R39" s="13"/>
    </row>
    <row r="40" spans="1:26" x14ac:dyDescent="0.3">
      <c r="A40" s="14"/>
    </row>
    <row r="42" spans="1:26" x14ac:dyDescent="0.3">
      <c r="A42" s="26"/>
      <c r="B42" s="2"/>
      <c r="C42" s="4"/>
      <c r="D42" s="5"/>
    </row>
  </sheetData>
  <printOptions headings="1"/>
  <pageMargins left="0.7" right="0.7" top="0.75" bottom="0.75" header="0.3" footer="0.3"/>
  <pageSetup scale="5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F868E97245A944A1969FD69442BF31" ma:contentTypeVersion="13" ma:contentTypeDescription="Create a new document." ma:contentTypeScope="" ma:versionID="3f2471ae59fb93c80ec28de1ca72dbca">
  <xsd:schema xmlns:xsd="http://www.w3.org/2001/XMLSchema" xmlns:xs="http://www.w3.org/2001/XMLSchema" xmlns:p="http://schemas.microsoft.com/office/2006/metadata/properties" xmlns:ns3="5d80e713-44a1-4d43-b03b-252cf8a5da24" xmlns:ns4="98a67edc-3338-4d6a-a420-aafc2ab46ef3" targetNamespace="http://schemas.microsoft.com/office/2006/metadata/properties" ma:root="true" ma:fieldsID="24e68b0ca24b6b8c4547ccb2e9471540" ns3:_="" ns4:_="">
    <xsd:import namespace="5d80e713-44a1-4d43-b03b-252cf8a5da24"/>
    <xsd:import namespace="98a67edc-3338-4d6a-a420-aafc2ab46ef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80e713-44a1-4d43-b03b-252cf8a5da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a67edc-3338-4d6a-a420-aafc2ab46ef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617EEB-BB75-4197-BF52-2528AB9EBC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4E96D3-47CD-4B81-ABA5-7F39CF80B7EA}">
  <ds:schemaRefs>
    <ds:schemaRef ds:uri="98a67edc-3338-4d6a-a420-aafc2ab46ef3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5d80e713-44a1-4d43-b03b-252cf8a5da24"/>
    <ds:schemaRef ds:uri="http://www.w3.org/XML/1998/namespace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E33AA61-F477-4F1F-894E-B1E3B7CFF7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80e713-44a1-4d43-b03b-252cf8a5da24"/>
    <ds:schemaRef ds:uri="98a67edc-3338-4d6a-a420-aafc2ab46e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example calculation</vt:lpstr>
      <vt:lpstr>'example calculation'!Print_Area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 J. Venema</dc:creator>
  <cp:lastModifiedBy>Keeli Baker</cp:lastModifiedBy>
  <cp:lastPrinted>2022-01-13T19:53:39Z</cp:lastPrinted>
  <dcterms:created xsi:type="dcterms:W3CDTF">2021-07-09T11:32:11Z</dcterms:created>
  <dcterms:modified xsi:type="dcterms:W3CDTF">2024-10-03T20:33:32Z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46dfe0-534f-4c95-815c-5b1af86b9823_Enabled">
    <vt:lpwstr>true</vt:lpwstr>
  </property>
  <property fmtid="{D5CDD505-2E9C-101B-9397-08002B2CF9AE}" pid="3" name="MSIP_Label_2f46dfe0-534f-4c95-815c-5b1af86b9823_SetDate">
    <vt:lpwstr>2021-09-10T21:19:59Z</vt:lpwstr>
  </property>
  <property fmtid="{D5CDD505-2E9C-101B-9397-08002B2CF9AE}" pid="4" name="MSIP_Label_2f46dfe0-534f-4c95-815c-5b1af86b9823_Method">
    <vt:lpwstr>Privileged</vt:lpwstr>
  </property>
  <property fmtid="{D5CDD505-2E9C-101B-9397-08002B2CF9AE}" pid="5" name="MSIP_Label_2f46dfe0-534f-4c95-815c-5b1af86b9823_Name">
    <vt:lpwstr>2f46dfe0-534f-4c95-815c-5b1af86b9823</vt:lpwstr>
  </property>
  <property fmtid="{D5CDD505-2E9C-101B-9397-08002B2CF9AE}" pid="6" name="MSIP_Label_2f46dfe0-534f-4c95-815c-5b1af86b9823_SiteId">
    <vt:lpwstr>d5fb7087-3777-42ad-966a-892ef47225d1</vt:lpwstr>
  </property>
  <property fmtid="{D5CDD505-2E9C-101B-9397-08002B2CF9AE}" pid="7" name="MSIP_Label_2f46dfe0-534f-4c95-815c-5b1af86b9823_ActionId">
    <vt:lpwstr>7b1740ac-43da-444b-9134-21159edd23b7</vt:lpwstr>
  </property>
  <property fmtid="{D5CDD505-2E9C-101B-9397-08002B2CF9AE}" pid="8" name="MSIP_Label_2f46dfe0-534f-4c95-815c-5b1af86b9823_ContentBits">
    <vt:lpwstr>0</vt:lpwstr>
  </property>
  <property fmtid="{D5CDD505-2E9C-101B-9397-08002B2CF9AE}" pid="9" name="ContentTypeId">
    <vt:lpwstr>0x01010046F868E97245A944A1969FD69442BF31</vt:lpwstr>
  </property>
</Properties>
</file>